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лот1!$A$1:$T$36</definedName>
  </definedNames>
  <calcPr calcId="125725"/>
</workbook>
</file>

<file path=xl/calcChain.xml><?xml version="1.0" encoding="utf-8"?>
<calcChain xmlns="http://schemas.openxmlformats.org/spreadsheetml/2006/main">
  <c r="V37" i="3"/>
  <c r="W34"/>
  <c r="V34"/>
  <c r="T33"/>
  <c r="T32"/>
  <c r="T31"/>
  <c r="T30"/>
  <c r="T29"/>
  <c r="T27"/>
  <c r="T21"/>
  <c r="T18"/>
  <c r="T17"/>
  <c r="T16"/>
  <c r="T15"/>
  <c r="S36"/>
  <c r="R15"/>
  <c r="R16"/>
  <c r="R17"/>
  <c r="R18"/>
  <c r="R19"/>
  <c r="R20"/>
  <c r="R21"/>
  <c r="R23"/>
  <c r="R24"/>
  <c r="R25"/>
  <c r="R26"/>
  <c r="R27"/>
  <c r="R29"/>
  <c r="R30"/>
  <c r="R31"/>
  <c r="R32"/>
  <c r="R33"/>
  <c r="S28"/>
  <c r="T26"/>
  <c r="T25"/>
  <c r="S25"/>
  <c r="T24"/>
  <c r="S24"/>
  <c r="T23"/>
  <c r="S22"/>
  <c r="T20"/>
  <c r="T19"/>
  <c r="S14"/>
  <c r="T9"/>
  <c r="S9"/>
  <c r="T28" l="1"/>
  <c r="T22"/>
  <c r="T14"/>
  <c r="R28"/>
  <c r="R14"/>
  <c r="R22"/>
  <c r="Q33"/>
  <c r="P33"/>
  <c r="Q32"/>
  <c r="P32"/>
  <c r="Q31"/>
  <c r="P31"/>
  <c r="Q30"/>
  <c r="P30"/>
  <c r="Q29"/>
  <c r="P29"/>
  <c r="Q27"/>
  <c r="P27"/>
  <c r="Q26"/>
  <c r="P26"/>
  <c r="Q25"/>
  <c r="P25"/>
  <c r="Q24"/>
  <c r="P24"/>
  <c r="Q23"/>
  <c r="P23"/>
  <c r="Q21"/>
  <c r="P21"/>
  <c r="Q20"/>
  <c r="P20"/>
  <c r="Q19"/>
  <c r="P19"/>
  <c r="Q18"/>
  <c r="P18"/>
  <c r="Q17"/>
  <c r="P17"/>
  <c r="Q16"/>
  <c r="P16"/>
  <c r="Q15"/>
  <c r="P15"/>
  <c r="T34" l="1"/>
  <c r="T36" s="1"/>
  <c r="R34"/>
  <c r="R36" s="1"/>
  <c r="P28"/>
  <c r="P14"/>
  <c r="Q22"/>
  <c r="P22"/>
  <c r="Q14"/>
  <c r="Q28"/>
  <c r="M33"/>
  <c r="M32"/>
  <c r="M31"/>
  <c r="M30"/>
  <c r="M29"/>
  <c r="M27"/>
  <c r="M26"/>
  <c r="M25"/>
  <c r="M24"/>
  <c r="M23"/>
  <c r="M21"/>
  <c r="M20"/>
  <c r="M19"/>
  <c r="M18"/>
  <c r="M17"/>
  <c r="M16"/>
  <c r="M15"/>
  <c r="J9"/>
  <c r="J33"/>
  <c r="J32"/>
  <c r="J31"/>
  <c r="J30"/>
  <c r="J29"/>
  <c r="J27"/>
  <c r="J26"/>
  <c r="J25"/>
  <c r="J24"/>
  <c r="J23"/>
  <c r="J21"/>
  <c r="J20"/>
  <c r="J19"/>
  <c r="J18"/>
  <c r="J17"/>
  <c r="J16"/>
  <c r="I33"/>
  <c r="I32"/>
  <c r="I31"/>
  <c r="I30"/>
  <c r="I29"/>
  <c r="I27"/>
  <c r="I26"/>
  <c r="I25"/>
  <c r="I24"/>
  <c r="I23"/>
  <c r="I21"/>
  <c r="I20"/>
  <c r="I19"/>
  <c r="I18"/>
  <c r="I17"/>
  <c r="I16"/>
  <c r="J15"/>
  <c r="I15"/>
  <c r="I9"/>
  <c r="P34" l="1"/>
  <c r="P36" s="1"/>
  <c r="Q34"/>
  <c r="Q36" s="1"/>
  <c r="M14"/>
  <c r="M28"/>
  <c r="M22"/>
  <c r="J22"/>
  <c r="J14"/>
  <c r="J28"/>
  <c r="H31"/>
  <c r="H14"/>
  <c r="H29"/>
  <c r="H26"/>
  <c r="H27"/>
  <c r="M34" l="1"/>
  <c r="M36" s="1"/>
  <c r="J34"/>
  <c r="J36" s="1"/>
  <c r="I22"/>
  <c r="H28"/>
  <c r="H22"/>
  <c r="H9"/>
  <c r="H36" l="1"/>
  <c r="I28"/>
  <c r="I14" l="1"/>
  <c r="I34" s="1"/>
  <c r="I36" l="1"/>
</calcChain>
</file>

<file path=xl/sharedStrings.xml><?xml version="1.0" encoding="utf-8"?>
<sst xmlns="http://schemas.openxmlformats.org/spreadsheetml/2006/main" count="131" uniqueCount="79">
  <si>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</si>
  <si>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</si>
  <si>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</si>
  <si>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</si>
  <si>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</si>
  <si>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</si>
  <si>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</si>
  <si>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</si>
  <si>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</si>
  <si>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</si>
  <si>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</si>
  <si>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</si>
  <si>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</si>
  <si>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</si>
  <si>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</si>
  <si>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</si>
  <si>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</si>
  <si>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</si>
  <si>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</si>
  <si>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</si>
  <si>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</si>
  <si>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</si>
  <si>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</si>
  <si>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</si>
  <si>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</si>
  <si>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</si>
  <si>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</si>
  <si>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</si>
  <si>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</si>
  <si>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</si>
  <si>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</si>
  <si>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</si>
  <si>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</si>
  <si>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</si>
  <si>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</si>
  <si>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</si>
  <si>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</si>
  <si>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</si>
  <si>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</si>
  <si>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</si>
  <si>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</si>
  <si>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</si>
  <si>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</si>
  <si>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</si>
  <si>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</si>
  <si>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</si>
  <si>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</si>
  <si>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</si>
  <si>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</si>
  <si>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</si>
  <si>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</si>
  <si>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</si>
  <si>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</si>
  <si>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деревянный не благоустроенный с центр отоплением</t>
  </si>
  <si>
    <t>18</t>
  </si>
  <si>
    <t>ВЫЧЕГОДСКАЯ ул.</t>
  </si>
  <si>
    <t>МИРА ул.</t>
  </si>
  <si>
    <t>23</t>
  </si>
  <si>
    <t>21</t>
  </si>
  <si>
    <t>30</t>
  </si>
  <si>
    <t>ЛАХТИНСКОЕ шос.</t>
  </si>
  <si>
    <t>Жилой район  Исакогорский и Цигломенский  тер. округ</t>
  </si>
  <si>
    <t>Лот № 2</t>
  </si>
  <si>
    <t>15, 1</t>
  </si>
  <si>
    <t>125</t>
  </si>
  <si>
    <t>1052,5</t>
  </si>
  <si>
    <t>416,7</t>
  </si>
  <si>
    <t>634,3</t>
  </si>
  <si>
    <t>АЛЛЕЙНАЯ ул.</t>
  </si>
  <si>
    <t>529,1</t>
  </si>
  <si>
    <t>686,2</t>
  </si>
  <si>
    <t>760,1</t>
  </si>
  <si>
    <t>ПОГРАНИЧНАЯ ул.</t>
  </si>
  <si>
    <t>28, К 1</t>
  </si>
  <si>
    <t>485,2</t>
  </si>
  <si>
    <t>Приложение №2</t>
  </si>
  <si>
    <t>к извещению и документации</t>
  </si>
  <si>
    <t xml:space="preserve"> о проведении открытого конкурса</t>
  </si>
  <si>
    <t xml:space="preserve">  деревянный неблагоустроенный с водопроводом без канализации и центрального отопления (септик)</t>
  </si>
</sst>
</file>

<file path=xl/styles.xml><?xml version="1.0" encoding="utf-8"?>
<styleSheet xmlns="http://schemas.openxmlformats.org/spreadsheetml/2006/main">
  <fonts count="14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9"/>
      <name val="Times New Roman"/>
      <family val="1"/>
      <charset val="204"/>
    </font>
    <font>
      <sz val="9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 vertical="top"/>
    </xf>
    <xf numFmtId="4" fontId="10" fillId="2" borderId="5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left" vertical="top"/>
    </xf>
    <xf numFmtId="4" fontId="10" fillId="2" borderId="1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4" fontId="4" fillId="2" borderId="0" xfId="0" applyNumberFormat="1" applyFont="1" applyFill="1" applyAlignment="1">
      <alignment horizontal="left"/>
    </xf>
    <xf numFmtId="4" fontId="4" fillId="2" borderId="5" xfId="0" applyNumberFormat="1" applyFont="1" applyFill="1" applyBorder="1" applyAlignment="1">
      <alignment horizontal="center" vertical="top"/>
    </xf>
    <xf numFmtId="49" fontId="12" fillId="2" borderId="19" xfId="0" applyNumberFormat="1" applyFont="1" applyFill="1" applyBorder="1" applyAlignment="1">
      <alignment horizontal="left" wrapText="1"/>
    </xf>
    <xf numFmtId="4" fontId="8" fillId="2" borderId="12" xfId="0" applyNumberFormat="1" applyFont="1" applyFill="1" applyBorder="1" applyAlignment="1">
      <alignment vertical="center"/>
    </xf>
    <xf numFmtId="4" fontId="8" fillId="2" borderId="13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/>
    <xf numFmtId="4" fontId="8" fillId="2" borderId="13" xfId="0" applyNumberFormat="1" applyFont="1" applyFill="1" applyBorder="1" applyAlignment="1">
      <alignment vertical="center"/>
    </xf>
    <xf numFmtId="4" fontId="10" fillId="2" borderId="19" xfId="0" applyNumberFormat="1" applyFont="1" applyFill="1" applyBorder="1" applyAlignment="1">
      <alignment horizontal="left" vertical="top"/>
    </xf>
    <xf numFmtId="4" fontId="10" fillId="2" borderId="19" xfId="0" applyNumberFormat="1" applyFont="1" applyFill="1" applyBorder="1" applyAlignment="1">
      <alignment horizontal="center" vertical="center"/>
    </xf>
    <xf numFmtId="4" fontId="10" fillId="2" borderId="19" xfId="0" applyNumberFormat="1" applyFont="1" applyFill="1" applyBorder="1" applyAlignment="1">
      <alignment horizontal="center" vertical="top"/>
    </xf>
    <xf numFmtId="4" fontId="2" fillId="3" borderId="0" xfId="0" applyNumberFormat="1" applyFont="1" applyFill="1" applyAlignment="1">
      <alignment horizontal="right"/>
    </xf>
    <xf numFmtId="4" fontId="8" fillId="3" borderId="21" xfId="0" applyNumberFormat="1" applyFont="1" applyFill="1" applyBorder="1" applyAlignment="1">
      <alignment horizontal="right" vertical="center"/>
    </xf>
    <xf numFmtId="4" fontId="10" fillId="3" borderId="5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 vertical="top"/>
    </xf>
    <xf numFmtId="4" fontId="10" fillId="3" borderId="15" xfId="0" applyNumberFormat="1" applyFont="1" applyFill="1" applyBorder="1" applyAlignment="1">
      <alignment horizontal="center" vertical="center"/>
    </xf>
    <xf numFmtId="49" fontId="12" fillId="3" borderId="19" xfId="0" applyNumberFormat="1" applyFont="1" applyFill="1" applyBorder="1" applyAlignment="1">
      <alignment horizontal="left" wrapText="1"/>
    </xf>
    <xf numFmtId="49" fontId="12" fillId="2" borderId="23" xfId="0" applyNumberFormat="1" applyFont="1" applyFill="1" applyBorder="1" applyAlignment="1">
      <alignment horizontal="left" wrapText="1"/>
    </xf>
    <xf numFmtId="49" fontId="12" fillId="2" borderId="24" xfId="0" applyNumberFormat="1" applyFont="1" applyFill="1" applyBorder="1" applyAlignment="1">
      <alignment horizontal="left" wrapText="1"/>
    </xf>
    <xf numFmtId="49" fontId="12" fillId="2" borderId="25" xfId="0" applyNumberFormat="1" applyFont="1" applyFill="1" applyBorder="1" applyAlignment="1">
      <alignment horizontal="left" wrapText="1"/>
    </xf>
    <xf numFmtId="4" fontId="2" fillId="0" borderId="0" xfId="0" applyNumberFormat="1" applyFont="1" applyAlignment="1"/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8" fillId="2" borderId="9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left" vertical="top"/>
    </xf>
    <xf numFmtId="4" fontId="8" fillId="2" borderId="8" xfId="0" applyNumberFormat="1" applyFont="1" applyFill="1" applyBorder="1" applyAlignment="1">
      <alignment horizontal="left" vertical="top"/>
    </xf>
    <xf numFmtId="4" fontId="8" fillId="2" borderId="19" xfId="0" applyNumberFormat="1" applyFont="1" applyFill="1" applyBorder="1" applyAlignment="1">
      <alignment horizontal="left" vertical="top"/>
    </xf>
    <xf numFmtId="4" fontId="13" fillId="3" borderId="2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 vertical="top"/>
    </xf>
    <xf numFmtId="4" fontId="8" fillId="2" borderId="10" xfId="0" applyNumberFormat="1" applyFont="1" applyFill="1" applyBorder="1" applyAlignment="1">
      <alignment horizontal="center" vertical="top"/>
    </xf>
    <xf numFmtId="4" fontId="8" fillId="2" borderId="11" xfId="0" applyNumberFormat="1" applyFont="1" applyFill="1" applyBorder="1" applyAlignment="1">
      <alignment horizontal="center" vertical="top"/>
    </xf>
    <xf numFmtId="4" fontId="8" fillId="2" borderId="17" xfId="0" applyNumberFormat="1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4" fillId="2" borderId="20" xfId="0" applyNumberFormat="1" applyFont="1" applyFill="1" applyBorder="1" applyAlignment="1">
      <alignment horizontal="center" vertical="center" wrapText="1"/>
    </xf>
    <xf numFmtId="4" fontId="11" fillId="2" borderId="20" xfId="0" applyNumberFormat="1" applyFont="1" applyFill="1" applyBorder="1" applyAlignment="1">
      <alignment horizontal="center" vertical="center" wrapText="1"/>
    </xf>
    <xf numFmtId="4" fontId="9" fillId="2" borderId="22" xfId="0" applyNumberFormat="1" applyFont="1" applyFill="1" applyBorder="1" applyAlignment="1">
      <alignment horizontal="center" vertical="center" wrapText="1"/>
    </xf>
    <xf numFmtId="4" fontId="9" fillId="2" borderId="16" xfId="0" applyNumberFormat="1" applyFont="1" applyFill="1" applyBorder="1" applyAlignment="1">
      <alignment horizontal="center" vertical="center" wrapText="1"/>
    </xf>
    <xf numFmtId="4" fontId="9" fillId="2" borderId="20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2"/>
  <sheetViews>
    <sheetView tabSelected="1" view="pageBreakPreview" topLeftCell="H28" zoomScale="90" zoomScaleNormal="100" zoomScaleSheetLayoutView="90" workbookViewId="0">
      <selection activeCell="V37" sqref="V37"/>
    </sheetView>
  </sheetViews>
  <sheetFormatPr defaultRowHeight="12.75"/>
  <cols>
    <col min="1" max="5" width="9.140625" style="6"/>
    <col min="6" max="6" width="20.7109375" style="6" customWidth="1"/>
    <col min="7" max="7" width="19.5703125" style="6" customWidth="1"/>
    <col min="8" max="8" width="11.28515625" style="7" customWidth="1"/>
    <col min="9" max="10" width="9.140625" style="7" customWidth="1"/>
    <col min="11" max="11" width="19.28515625" style="6" customWidth="1"/>
    <col min="12" max="12" width="14.28515625" style="7" customWidth="1"/>
    <col min="13" max="13" width="10.140625" style="7" customWidth="1"/>
    <col min="14" max="14" width="19.7109375" style="6" customWidth="1"/>
    <col min="15" max="15" width="11.85546875" style="6" customWidth="1"/>
    <col min="16" max="18" width="9.140625" style="6" customWidth="1"/>
    <col min="19" max="19" width="17.42578125" style="38" customWidth="1"/>
    <col min="20" max="20" width="12.140625" style="9" customWidth="1"/>
    <col min="22" max="22" width="11.85546875" customWidth="1"/>
  </cols>
  <sheetData>
    <row r="1" spans="1:20" s="1" customFormat="1" ht="16.5" customHeight="1">
      <c r="A1" s="69" t="s">
        <v>25</v>
      </c>
      <c r="B1" s="69"/>
      <c r="C1" s="69"/>
      <c r="D1" s="69"/>
      <c r="E1" s="69"/>
      <c r="F1" s="69"/>
      <c r="G1" s="69"/>
      <c r="H1" s="7"/>
      <c r="I1" s="26"/>
      <c r="J1" s="27"/>
      <c r="K1" s="9" t="s">
        <v>75</v>
      </c>
      <c r="L1" s="3"/>
      <c r="M1" s="3"/>
      <c r="N1" s="9"/>
      <c r="O1" s="6"/>
      <c r="P1" s="6"/>
      <c r="Q1" s="6"/>
      <c r="R1" s="6"/>
      <c r="S1" s="38"/>
      <c r="T1" s="9"/>
    </row>
    <row r="2" spans="1:20" s="1" customFormat="1" ht="16.5" customHeight="1">
      <c r="A2" s="69" t="s">
        <v>24</v>
      </c>
      <c r="B2" s="69"/>
      <c r="C2" s="69"/>
      <c r="D2" s="69"/>
      <c r="E2" s="69"/>
      <c r="F2" s="69"/>
      <c r="G2" s="69"/>
      <c r="H2" s="7"/>
      <c r="I2" s="28"/>
      <c r="J2" s="27"/>
      <c r="K2" s="9" t="s">
        <v>76</v>
      </c>
      <c r="L2" s="4"/>
      <c r="M2" s="4"/>
      <c r="N2" s="9"/>
      <c r="O2" s="6"/>
      <c r="P2" s="6"/>
      <c r="Q2" s="6"/>
      <c r="R2" s="6"/>
      <c r="S2" s="38"/>
      <c r="T2" s="9"/>
    </row>
    <row r="3" spans="1:20" s="1" customFormat="1" ht="16.5" customHeight="1">
      <c r="A3" s="69" t="s">
        <v>23</v>
      </c>
      <c r="B3" s="69"/>
      <c r="C3" s="69"/>
      <c r="D3" s="69"/>
      <c r="E3" s="69"/>
      <c r="F3" s="69"/>
      <c r="G3" s="69"/>
      <c r="H3" s="7"/>
      <c r="I3" s="26"/>
      <c r="J3" s="27"/>
      <c r="K3" s="9" t="s">
        <v>77</v>
      </c>
      <c r="L3" s="4"/>
      <c r="M3" s="4"/>
      <c r="N3" s="9"/>
      <c r="O3" s="6"/>
      <c r="P3" s="6"/>
      <c r="Q3" s="6"/>
      <c r="R3" s="6"/>
      <c r="S3" s="38"/>
      <c r="T3" s="9"/>
    </row>
    <row r="4" spans="1:20" s="1" customFormat="1" ht="16.5" customHeight="1">
      <c r="A4" s="70" t="s">
        <v>22</v>
      </c>
      <c r="B4" s="70"/>
      <c r="C4" s="70"/>
      <c r="D4" s="70"/>
      <c r="E4" s="70"/>
      <c r="F4" s="70"/>
      <c r="G4" s="70"/>
      <c r="H4" s="7"/>
      <c r="I4" s="7"/>
      <c r="J4" s="7"/>
      <c r="K4" s="7"/>
      <c r="L4" s="7"/>
      <c r="M4" s="7"/>
      <c r="N4" s="9"/>
      <c r="O4" s="6"/>
      <c r="P4" s="6"/>
      <c r="Q4" s="6"/>
      <c r="R4" s="6"/>
      <c r="S4" s="38"/>
      <c r="T4" s="9"/>
    </row>
    <row r="5" spans="1:20" s="1" customFormat="1">
      <c r="A5" s="5" t="s">
        <v>62</v>
      </c>
      <c r="B5" s="5" t="s">
        <v>61</v>
      </c>
      <c r="C5" s="6"/>
      <c r="D5" s="6"/>
      <c r="E5" s="6"/>
      <c r="F5" s="6"/>
      <c r="G5" s="6"/>
      <c r="H5" s="7"/>
      <c r="I5" s="7"/>
      <c r="J5" s="7"/>
      <c r="K5" s="6"/>
      <c r="L5" s="7"/>
      <c r="M5" s="7"/>
      <c r="N5" s="6"/>
      <c r="O5" s="6"/>
      <c r="P5" s="6"/>
      <c r="Q5" s="6"/>
      <c r="R5" s="6"/>
      <c r="S5" s="38"/>
      <c r="T5" s="9"/>
    </row>
    <row r="6" spans="1:20" s="1" customFormat="1" ht="15.75" customHeight="1">
      <c r="A6" s="76" t="s">
        <v>21</v>
      </c>
      <c r="B6" s="77"/>
      <c r="C6" s="77"/>
      <c r="D6" s="77"/>
      <c r="E6" s="77"/>
      <c r="F6" s="77"/>
      <c r="G6" s="74"/>
      <c r="H6" s="75"/>
      <c r="I6" s="75"/>
      <c r="J6" s="75"/>
      <c r="K6" s="74"/>
      <c r="L6" s="75"/>
      <c r="M6" s="75"/>
      <c r="N6" s="31"/>
      <c r="O6" s="34" t="s">
        <v>20</v>
      </c>
      <c r="P6" s="33"/>
      <c r="Q6" s="33"/>
      <c r="R6" s="33"/>
      <c r="S6" s="39"/>
      <c r="T6" s="32"/>
    </row>
    <row r="7" spans="1:20" s="10" customFormat="1" ht="56.25" customHeight="1">
      <c r="A7" s="78"/>
      <c r="B7" s="79"/>
      <c r="C7" s="79"/>
      <c r="D7" s="79"/>
      <c r="E7" s="79"/>
      <c r="F7" s="79"/>
      <c r="G7" s="80" t="s">
        <v>19</v>
      </c>
      <c r="H7" s="81" t="s">
        <v>46</v>
      </c>
      <c r="I7" s="46" t="s">
        <v>55</v>
      </c>
      <c r="J7" s="46" t="s">
        <v>60</v>
      </c>
      <c r="K7" s="84" t="s">
        <v>19</v>
      </c>
      <c r="L7" s="81" t="s">
        <v>47</v>
      </c>
      <c r="M7" s="47" t="s">
        <v>56</v>
      </c>
      <c r="N7" s="82" t="s">
        <v>19</v>
      </c>
      <c r="O7" s="81" t="s">
        <v>53</v>
      </c>
      <c r="P7" s="46" t="s">
        <v>68</v>
      </c>
      <c r="Q7" s="46" t="s">
        <v>68</v>
      </c>
      <c r="R7" s="46" t="s">
        <v>68</v>
      </c>
      <c r="S7" s="68" t="s">
        <v>78</v>
      </c>
      <c r="T7" s="48" t="s">
        <v>72</v>
      </c>
    </row>
    <row r="8" spans="1:20" s="10" customFormat="1">
      <c r="A8" s="78"/>
      <c r="B8" s="79"/>
      <c r="C8" s="79"/>
      <c r="D8" s="79"/>
      <c r="E8" s="79"/>
      <c r="F8" s="79"/>
      <c r="G8" s="80"/>
      <c r="H8" s="81"/>
      <c r="I8" s="46" t="s">
        <v>63</v>
      </c>
      <c r="J8" s="46" t="s">
        <v>64</v>
      </c>
      <c r="K8" s="84"/>
      <c r="L8" s="81"/>
      <c r="M8" s="47" t="s">
        <v>54</v>
      </c>
      <c r="N8" s="83"/>
      <c r="O8" s="81"/>
      <c r="P8" s="46" t="s">
        <v>58</v>
      </c>
      <c r="Q8" s="46" t="s">
        <v>57</v>
      </c>
      <c r="R8" s="46" t="s">
        <v>59</v>
      </c>
      <c r="S8" s="68"/>
      <c r="T8" s="48" t="s">
        <v>73</v>
      </c>
    </row>
    <row r="9" spans="1:20" s="1" customFormat="1">
      <c r="A9" s="71" t="s">
        <v>18</v>
      </c>
      <c r="B9" s="72"/>
      <c r="C9" s="72"/>
      <c r="D9" s="72"/>
      <c r="E9" s="72"/>
      <c r="F9" s="73"/>
      <c r="G9" s="29"/>
      <c r="H9" s="18">
        <f t="shared" ref="H9" si="0">SUM(H10:H13)</f>
        <v>0</v>
      </c>
      <c r="I9" s="18">
        <f t="shared" ref="I9" si="1">SUM(I10:I13)</f>
        <v>0</v>
      </c>
      <c r="J9" s="18">
        <f t="shared" ref="J9" si="2">SUM(J10:J13)</f>
        <v>0</v>
      </c>
      <c r="K9" s="17"/>
      <c r="L9" s="18">
        <v>0</v>
      </c>
      <c r="M9" s="18">
        <v>0</v>
      </c>
      <c r="N9" s="17"/>
      <c r="O9" s="18">
        <v>0</v>
      </c>
      <c r="P9" s="18">
        <v>0</v>
      </c>
      <c r="Q9" s="18">
        <v>0</v>
      </c>
      <c r="R9" s="18">
        <v>0</v>
      </c>
      <c r="S9" s="40">
        <f t="shared" ref="S9:T9" si="3">SUM(S10:S13)</f>
        <v>0</v>
      </c>
      <c r="T9" s="18">
        <f t="shared" si="3"/>
        <v>0</v>
      </c>
    </row>
    <row r="10" spans="1:20" s="1" customFormat="1">
      <c r="A10" s="51" t="s">
        <v>26</v>
      </c>
      <c r="B10" s="51"/>
      <c r="C10" s="51"/>
      <c r="D10" s="51"/>
      <c r="E10" s="51"/>
      <c r="F10" s="51"/>
      <c r="G10" s="13" t="s">
        <v>11</v>
      </c>
      <c r="H10" s="13">
        <v>0</v>
      </c>
      <c r="I10" s="13">
        <v>0</v>
      </c>
      <c r="J10" s="13">
        <v>0</v>
      </c>
      <c r="K10" s="13" t="s">
        <v>11</v>
      </c>
      <c r="L10" s="13">
        <v>0</v>
      </c>
      <c r="M10" s="13">
        <v>0</v>
      </c>
      <c r="N10" s="13" t="s">
        <v>11</v>
      </c>
      <c r="O10" s="13">
        <v>0</v>
      </c>
      <c r="P10" s="13">
        <v>0</v>
      </c>
      <c r="Q10" s="13">
        <v>0</v>
      </c>
      <c r="R10" s="13">
        <v>0</v>
      </c>
      <c r="S10" s="41">
        <v>0</v>
      </c>
      <c r="T10" s="13">
        <v>0</v>
      </c>
    </row>
    <row r="11" spans="1:20" s="1" customFormat="1">
      <c r="A11" s="51" t="s">
        <v>27</v>
      </c>
      <c r="B11" s="51"/>
      <c r="C11" s="51"/>
      <c r="D11" s="51"/>
      <c r="E11" s="51"/>
      <c r="F11" s="51"/>
      <c r="G11" s="13" t="s">
        <v>11</v>
      </c>
      <c r="H11" s="13">
        <v>0</v>
      </c>
      <c r="I11" s="13">
        <v>0</v>
      </c>
      <c r="J11" s="13">
        <v>0</v>
      </c>
      <c r="K11" s="13" t="s">
        <v>11</v>
      </c>
      <c r="L11" s="13">
        <v>0</v>
      </c>
      <c r="M11" s="13">
        <v>0</v>
      </c>
      <c r="N11" s="13" t="s">
        <v>11</v>
      </c>
      <c r="O11" s="13">
        <v>0</v>
      </c>
      <c r="P11" s="13">
        <v>0</v>
      </c>
      <c r="Q11" s="13">
        <v>0</v>
      </c>
      <c r="R11" s="13">
        <v>0</v>
      </c>
      <c r="S11" s="41">
        <v>0</v>
      </c>
      <c r="T11" s="13">
        <v>0</v>
      </c>
    </row>
    <row r="12" spans="1:20" s="1" customFormat="1">
      <c r="A12" s="51" t="s">
        <v>17</v>
      </c>
      <c r="B12" s="51"/>
      <c r="C12" s="51"/>
      <c r="D12" s="51"/>
      <c r="E12" s="51"/>
      <c r="F12" s="51"/>
      <c r="G12" s="13" t="s">
        <v>11</v>
      </c>
      <c r="H12" s="13">
        <v>0</v>
      </c>
      <c r="I12" s="13">
        <v>0</v>
      </c>
      <c r="J12" s="13">
        <v>0</v>
      </c>
      <c r="K12" s="13" t="s">
        <v>11</v>
      </c>
      <c r="L12" s="13">
        <v>0</v>
      </c>
      <c r="M12" s="13">
        <v>0</v>
      </c>
      <c r="N12" s="13" t="s">
        <v>11</v>
      </c>
      <c r="O12" s="13">
        <v>0</v>
      </c>
      <c r="P12" s="13">
        <v>0</v>
      </c>
      <c r="Q12" s="13">
        <v>0</v>
      </c>
      <c r="R12" s="13">
        <v>0</v>
      </c>
      <c r="S12" s="41">
        <v>0</v>
      </c>
      <c r="T12" s="13">
        <v>0</v>
      </c>
    </row>
    <row r="13" spans="1:20" s="1" customFormat="1">
      <c r="A13" s="51" t="s">
        <v>16</v>
      </c>
      <c r="B13" s="51"/>
      <c r="C13" s="51"/>
      <c r="D13" s="51"/>
      <c r="E13" s="51"/>
      <c r="F13" s="51"/>
      <c r="G13" s="13" t="s">
        <v>15</v>
      </c>
      <c r="H13" s="13">
        <v>0</v>
      </c>
      <c r="I13" s="13">
        <v>0</v>
      </c>
      <c r="J13" s="13">
        <v>0</v>
      </c>
      <c r="K13" s="13" t="s">
        <v>15</v>
      </c>
      <c r="L13" s="13">
        <v>0</v>
      </c>
      <c r="M13" s="13">
        <v>0</v>
      </c>
      <c r="N13" s="13" t="s">
        <v>15</v>
      </c>
      <c r="O13" s="13">
        <v>0</v>
      </c>
      <c r="P13" s="13">
        <v>0</v>
      </c>
      <c r="Q13" s="13">
        <v>0</v>
      </c>
      <c r="R13" s="13">
        <v>0</v>
      </c>
      <c r="S13" s="41">
        <v>0</v>
      </c>
      <c r="T13" s="13">
        <v>0</v>
      </c>
    </row>
    <row r="14" spans="1:20" s="1" customFormat="1" ht="23.85" customHeight="1">
      <c r="A14" s="55" t="s">
        <v>14</v>
      </c>
      <c r="B14" s="56"/>
      <c r="C14" s="56"/>
      <c r="D14" s="56"/>
      <c r="E14" s="56"/>
      <c r="F14" s="57"/>
      <c r="G14" s="12"/>
      <c r="H14" s="11">
        <f t="shared" ref="H14" si="4">SUM(H15:H21)</f>
        <v>4.6500000000000004</v>
      </c>
      <c r="I14" s="11">
        <f t="shared" ref="I14:J14" si="5">SUM(I15:I21)</f>
        <v>58729.5</v>
      </c>
      <c r="J14" s="11">
        <f t="shared" si="5"/>
        <v>23251.86</v>
      </c>
      <c r="K14" s="12"/>
      <c r="L14" s="11">
        <v>11.129999999999999</v>
      </c>
      <c r="M14" s="11">
        <f t="shared" ref="M14" si="6">SUM(M15:M21)</f>
        <v>84717.108000000007</v>
      </c>
      <c r="N14" s="12"/>
      <c r="O14" s="11">
        <v>10.45</v>
      </c>
      <c r="P14" s="11">
        <f t="shared" ref="P14" si="7">SUM(P15:P21)</f>
        <v>66349.140000000014</v>
      </c>
      <c r="Q14" s="11">
        <f t="shared" ref="Q14:R14" si="8">SUM(Q15:Q21)</f>
        <v>86049.48000000001</v>
      </c>
      <c r="R14" s="11">
        <f t="shared" si="8"/>
        <v>95316.540000000008</v>
      </c>
      <c r="S14" s="42">
        <f t="shared" ref="S14:T14" si="9">SUM(S15:S21)</f>
        <v>9.86</v>
      </c>
      <c r="T14" s="11">
        <f t="shared" si="9"/>
        <v>57408.864000000001</v>
      </c>
    </row>
    <row r="15" spans="1:20" s="1" customFormat="1">
      <c r="A15" s="51" t="s">
        <v>40</v>
      </c>
      <c r="B15" s="51"/>
      <c r="C15" s="51"/>
      <c r="D15" s="51"/>
      <c r="E15" s="51"/>
      <c r="F15" s="51"/>
      <c r="G15" s="13" t="s">
        <v>41</v>
      </c>
      <c r="H15" s="13">
        <v>1.08</v>
      </c>
      <c r="I15" s="13">
        <f>1.08*12*I35</f>
        <v>13640.400000000001</v>
      </c>
      <c r="J15" s="13">
        <f t="shared" ref="J15" si="10">1.08*12*J35</f>
        <v>5400.4319999999998</v>
      </c>
      <c r="K15" s="13" t="s">
        <v>41</v>
      </c>
      <c r="L15" s="13">
        <v>0.95</v>
      </c>
      <c r="M15" s="13">
        <f>0.95*12*M35</f>
        <v>7231.0199999999986</v>
      </c>
      <c r="N15" s="13" t="s">
        <v>41</v>
      </c>
      <c r="O15" s="13">
        <v>0.96</v>
      </c>
      <c r="P15" s="13">
        <f t="shared" ref="P15:R15" si="11">0.96*12*P35</f>
        <v>6095.232</v>
      </c>
      <c r="Q15" s="13">
        <f t="shared" si="11"/>
        <v>7905.0240000000003</v>
      </c>
      <c r="R15" s="13">
        <f t="shared" si="11"/>
        <v>8756.3520000000008</v>
      </c>
      <c r="S15" s="41">
        <v>0.95</v>
      </c>
      <c r="T15" s="13">
        <f>0.95*12*T35</f>
        <v>5531.2799999999988</v>
      </c>
    </row>
    <row r="16" spans="1:20" s="1" customFormat="1">
      <c r="A16" s="51" t="s">
        <v>31</v>
      </c>
      <c r="B16" s="51"/>
      <c r="C16" s="51"/>
      <c r="D16" s="51"/>
      <c r="E16" s="51"/>
      <c r="F16" s="51"/>
      <c r="G16" s="13" t="s">
        <v>13</v>
      </c>
      <c r="H16" s="13">
        <v>0.41</v>
      </c>
      <c r="I16" s="13">
        <f>0.41*12*I35</f>
        <v>5178.3</v>
      </c>
      <c r="J16" s="13">
        <f t="shared" ref="J16" si="12">0.41*12*J35</f>
        <v>2050.1639999999998</v>
      </c>
      <c r="K16" s="13" t="s">
        <v>13</v>
      </c>
      <c r="L16" s="13">
        <v>0.89</v>
      </c>
      <c r="M16" s="13">
        <f>0.89*12*M35</f>
        <v>6774.3239999999996</v>
      </c>
      <c r="N16" s="13" t="s">
        <v>13</v>
      </c>
      <c r="O16" s="13">
        <v>0.47</v>
      </c>
      <c r="P16" s="13">
        <f t="shared" ref="P16:R16" si="13">0.47*12*P35</f>
        <v>2984.1239999999998</v>
      </c>
      <c r="Q16" s="13">
        <f t="shared" si="13"/>
        <v>3870.1680000000001</v>
      </c>
      <c r="R16" s="13">
        <f t="shared" si="13"/>
        <v>4286.9639999999999</v>
      </c>
      <c r="S16" s="41">
        <v>0.89</v>
      </c>
      <c r="T16" s="13">
        <f>0.89*12*T35</f>
        <v>5181.9359999999997</v>
      </c>
    </row>
    <row r="17" spans="1:20" s="1" customFormat="1">
      <c r="A17" s="51" t="s">
        <v>32</v>
      </c>
      <c r="B17" s="51"/>
      <c r="C17" s="51"/>
      <c r="D17" s="51"/>
      <c r="E17" s="51"/>
      <c r="F17" s="51"/>
      <c r="G17" s="13" t="s">
        <v>42</v>
      </c>
      <c r="H17" s="13">
        <v>0.32</v>
      </c>
      <c r="I17" s="13">
        <f>0.32*12*I35</f>
        <v>4041.6</v>
      </c>
      <c r="J17" s="13">
        <f t="shared" ref="J17" si="14">0.32*12*J35</f>
        <v>1600.1279999999999</v>
      </c>
      <c r="K17" s="13" t="s">
        <v>42</v>
      </c>
      <c r="L17" s="13">
        <v>0.38</v>
      </c>
      <c r="M17" s="13">
        <f>0.38*12*M35</f>
        <v>2892.4079999999999</v>
      </c>
      <c r="N17" s="13" t="s">
        <v>42</v>
      </c>
      <c r="O17" s="13">
        <v>0.23</v>
      </c>
      <c r="P17" s="13">
        <f t="shared" ref="P17:R17" si="15">0.23*12*P35</f>
        <v>1460.3160000000003</v>
      </c>
      <c r="Q17" s="13">
        <f t="shared" si="15"/>
        <v>1893.9120000000003</v>
      </c>
      <c r="R17" s="13">
        <f t="shared" si="15"/>
        <v>2097.8760000000002</v>
      </c>
      <c r="S17" s="41">
        <v>0.38</v>
      </c>
      <c r="T17" s="13">
        <f>0.38*12*T35</f>
        <v>2212.5120000000002</v>
      </c>
    </row>
    <row r="18" spans="1:20" s="1" customFormat="1" ht="57.75" customHeight="1">
      <c r="A18" s="52" t="s">
        <v>33</v>
      </c>
      <c r="B18" s="53"/>
      <c r="C18" s="53"/>
      <c r="D18" s="53"/>
      <c r="E18" s="53"/>
      <c r="F18" s="54"/>
      <c r="G18" s="14" t="s">
        <v>12</v>
      </c>
      <c r="H18" s="13">
        <v>0.17</v>
      </c>
      <c r="I18" s="13">
        <f>0.17*12*I35</f>
        <v>2147.1</v>
      </c>
      <c r="J18" s="13">
        <f t="shared" ref="J18" si="16">0.17*12*J35</f>
        <v>850.06799999999998</v>
      </c>
      <c r="K18" s="14" t="s">
        <v>12</v>
      </c>
      <c r="L18" s="13">
        <v>0.27</v>
      </c>
      <c r="M18" s="13">
        <f>0.27*12*M35</f>
        <v>2055.1320000000001</v>
      </c>
      <c r="N18" s="14" t="s">
        <v>12</v>
      </c>
      <c r="O18" s="13">
        <v>0.15</v>
      </c>
      <c r="P18" s="13">
        <f t="shared" ref="P18:R18" si="17">0.15*12*P35</f>
        <v>952.38</v>
      </c>
      <c r="Q18" s="13">
        <f t="shared" si="17"/>
        <v>1235.1599999999999</v>
      </c>
      <c r="R18" s="13">
        <f t="shared" si="17"/>
        <v>1368.1799999999998</v>
      </c>
      <c r="S18" s="41">
        <v>0.27</v>
      </c>
      <c r="T18" s="13">
        <f>0.27*12*T35</f>
        <v>1572.048</v>
      </c>
    </row>
    <row r="19" spans="1:20" s="1" customFormat="1" ht="23.25" customHeight="1">
      <c r="A19" s="50" t="s">
        <v>34</v>
      </c>
      <c r="B19" s="51"/>
      <c r="C19" s="51"/>
      <c r="D19" s="51"/>
      <c r="E19" s="51"/>
      <c r="F19" s="51"/>
      <c r="G19" s="13" t="s">
        <v>43</v>
      </c>
      <c r="H19" s="13">
        <v>0.05</v>
      </c>
      <c r="I19" s="13">
        <f>0.05*12*I35</f>
        <v>631.50000000000011</v>
      </c>
      <c r="J19" s="13">
        <f t="shared" ref="J19" si="18">0.05*12*J35</f>
        <v>250.02000000000004</v>
      </c>
      <c r="K19" s="13" t="s">
        <v>43</v>
      </c>
      <c r="L19" s="13">
        <v>0.05</v>
      </c>
      <c r="M19" s="13">
        <f t="shared" ref="M19" si="19">0.05*12*M35</f>
        <v>380.58000000000004</v>
      </c>
      <c r="N19" s="13" t="s">
        <v>43</v>
      </c>
      <c r="O19" s="13">
        <v>0.05</v>
      </c>
      <c r="P19" s="13">
        <f t="shared" ref="P19" si="20">0.05*12*P35</f>
        <v>317.46000000000004</v>
      </c>
      <c r="Q19" s="13">
        <f t="shared" ref="Q19:R19" si="21">0.05*12*Q35</f>
        <v>411.72000000000008</v>
      </c>
      <c r="R19" s="13">
        <f t="shared" si="21"/>
        <v>456.06000000000006</v>
      </c>
      <c r="S19" s="41">
        <v>0.05</v>
      </c>
      <c r="T19" s="13">
        <f t="shared" ref="T19" si="22">0.05*12*T35</f>
        <v>291.12000000000006</v>
      </c>
    </row>
    <row r="20" spans="1:20" s="1" customFormat="1" ht="33.75">
      <c r="A20" s="51" t="s">
        <v>35</v>
      </c>
      <c r="B20" s="51"/>
      <c r="C20" s="51"/>
      <c r="D20" s="51"/>
      <c r="E20" s="51"/>
      <c r="F20" s="51"/>
      <c r="G20" s="15" t="s">
        <v>49</v>
      </c>
      <c r="H20" s="13">
        <v>2.62</v>
      </c>
      <c r="I20" s="13">
        <f>2.62*12*I35</f>
        <v>33090.6</v>
      </c>
      <c r="J20" s="13">
        <f t="shared" ref="J20" si="23">2.62*12*J35</f>
        <v>13101.048000000001</v>
      </c>
      <c r="K20" s="15" t="s">
        <v>49</v>
      </c>
      <c r="L20" s="13">
        <v>3.89</v>
      </c>
      <c r="M20" s="13">
        <f>3.89*12*M35</f>
        <v>29609.123999999996</v>
      </c>
      <c r="N20" s="15" t="s">
        <v>49</v>
      </c>
      <c r="O20" s="13">
        <v>3.89</v>
      </c>
      <c r="P20" s="13">
        <f t="shared" ref="P20" si="24">3.89*12*P35</f>
        <v>24698.388000000003</v>
      </c>
      <c r="Q20" s="13">
        <f t="shared" ref="Q20:R20" si="25">3.89*12*Q35</f>
        <v>32031.816000000003</v>
      </c>
      <c r="R20" s="13">
        <f t="shared" si="25"/>
        <v>35481.468000000001</v>
      </c>
      <c r="S20" s="41">
        <v>2.62</v>
      </c>
      <c r="T20" s="13">
        <f t="shared" ref="T20" si="26">2.62*12*T35</f>
        <v>15254.688</v>
      </c>
    </row>
    <row r="21" spans="1:20" s="1" customFormat="1">
      <c r="A21" s="51" t="s">
        <v>36</v>
      </c>
      <c r="B21" s="51"/>
      <c r="C21" s="51"/>
      <c r="D21" s="51"/>
      <c r="E21" s="51"/>
      <c r="F21" s="51"/>
      <c r="G21" s="13" t="s">
        <v>4</v>
      </c>
      <c r="H21" s="13">
        <v>0</v>
      </c>
      <c r="I21" s="13">
        <f>0*12*I35</f>
        <v>0</v>
      </c>
      <c r="J21" s="13">
        <f t="shared" ref="J21" si="27">0*12*J35</f>
        <v>0</v>
      </c>
      <c r="K21" s="13" t="s">
        <v>4</v>
      </c>
      <c r="L21" s="13">
        <v>4.7</v>
      </c>
      <c r="M21" s="13">
        <f>4.7*12*M35</f>
        <v>35774.520000000004</v>
      </c>
      <c r="N21" s="13" t="s">
        <v>4</v>
      </c>
      <c r="O21" s="13">
        <v>4.7</v>
      </c>
      <c r="P21" s="13">
        <f t="shared" ref="P21" si="28">4.7*12*P35</f>
        <v>29841.240000000005</v>
      </c>
      <c r="Q21" s="13">
        <f t="shared" ref="Q21:R21" si="29">4.7*12*Q35</f>
        <v>38701.680000000008</v>
      </c>
      <c r="R21" s="13">
        <f t="shared" si="29"/>
        <v>42869.640000000007</v>
      </c>
      <c r="S21" s="41">
        <v>4.7</v>
      </c>
      <c r="T21" s="13">
        <f>4.7*12*T35</f>
        <v>27365.280000000002</v>
      </c>
    </row>
    <row r="22" spans="1:20" s="1" customFormat="1" ht="13.5" customHeight="1">
      <c r="A22" s="55" t="s">
        <v>10</v>
      </c>
      <c r="B22" s="56"/>
      <c r="C22" s="56"/>
      <c r="D22" s="56"/>
      <c r="E22" s="56"/>
      <c r="F22" s="57"/>
      <c r="G22" s="12"/>
      <c r="H22" s="16">
        <f t="shared" ref="H22" si="30">SUM(H23:H27)</f>
        <v>1.94</v>
      </c>
      <c r="I22" s="16">
        <f t="shared" ref="I22:J22" si="31">SUM(I23:I27)</f>
        <v>24502.2</v>
      </c>
      <c r="J22" s="16">
        <f t="shared" si="31"/>
        <v>9700.7759999999998</v>
      </c>
      <c r="K22" s="12"/>
      <c r="L22" s="16">
        <v>3.23</v>
      </c>
      <c r="M22" s="16">
        <f t="shared" ref="M22" si="32">SUM(M23:M27)</f>
        <v>24585.467999999997</v>
      </c>
      <c r="N22" s="12"/>
      <c r="O22" s="16">
        <v>1.9</v>
      </c>
      <c r="P22" s="16">
        <f t="shared" ref="P22" si="33">SUM(P23:P27)</f>
        <v>12063.48</v>
      </c>
      <c r="Q22" s="16">
        <f t="shared" ref="Q22:R22" si="34">SUM(Q23:Q27)</f>
        <v>15645.360000000002</v>
      </c>
      <c r="R22" s="16">
        <f t="shared" si="34"/>
        <v>17330.28</v>
      </c>
      <c r="S22" s="43">
        <f t="shared" ref="S22:T22" si="35">SUM(S23:S27)</f>
        <v>3.23</v>
      </c>
      <c r="T22" s="16">
        <f t="shared" si="35"/>
        <v>18806.351999999999</v>
      </c>
    </row>
    <row r="23" spans="1:20" s="1" customFormat="1">
      <c r="A23" s="50" t="s">
        <v>38</v>
      </c>
      <c r="B23" s="51"/>
      <c r="C23" s="51"/>
      <c r="D23" s="51"/>
      <c r="E23" s="51"/>
      <c r="F23" s="51"/>
      <c r="G23" s="13" t="s">
        <v>4</v>
      </c>
      <c r="H23" s="13">
        <v>1.02</v>
      </c>
      <c r="I23" s="13">
        <f>1.02*12*I35</f>
        <v>12882.6</v>
      </c>
      <c r="J23" s="13">
        <f t="shared" ref="J23" si="36">1.02*12*J35</f>
        <v>5100.4080000000004</v>
      </c>
      <c r="K23" s="13" t="s">
        <v>4</v>
      </c>
      <c r="L23" s="13">
        <v>1.02</v>
      </c>
      <c r="M23" s="13">
        <f t="shared" ref="M23" si="37">1.02*12*M35</f>
        <v>7763.8319999999994</v>
      </c>
      <c r="N23" s="13" t="s">
        <v>4</v>
      </c>
      <c r="O23" s="13">
        <v>1.02</v>
      </c>
      <c r="P23" s="13">
        <f t="shared" ref="P23" si="38">1.02*12*P35</f>
        <v>6476.1840000000002</v>
      </c>
      <c r="Q23" s="13">
        <f t="shared" ref="Q23:R23" si="39">1.02*12*Q35</f>
        <v>8399.0880000000016</v>
      </c>
      <c r="R23" s="13">
        <f t="shared" si="39"/>
        <v>9303.6239999999998</v>
      </c>
      <c r="S23" s="41">
        <v>1.02</v>
      </c>
      <c r="T23" s="13">
        <f t="shared" ref="T23" si="40">1.02*12*T35</f>
        <v>5938.848</v>
      </c>
    </row>
    <row r="24" spans="1:20" s="1" customFormat="1" ht="25.5" customHeight="1">
      <c r="A24" s="50" t="s">
        <v>28</v>
      </c>
      <c r="B24" s="51"/>
      <c r="C24" s="51"/>
      <c r="D24" s="51"/>
      <c r="E24" s="51"/>
      <c r="F24" s="51"/>
      <c r="G24" s="13" t="s">
        <v>3</v>
      </c>
      <c r="H24" s="13">
        <v>0</v>
      </c>
      <c r="I24" s="13">
        <f>0*1242*I35</f>
        <v>0</v>
      </c>
      <c r="J24" s="13">
        <f t="shared" ref="J24" si="41">0*1242*J35</f>
        <v>0</v>
      </c>
      <c r="K24" s="13" t="s">
        <v>3</v>
      </c>
      <c r="L24" s="13">
        <v>0</v>
      </c>
      <c r="M24" s="13">
        <f>0*12*M35</f>
        <v>0</v>
      </c>
      <c r="N24" s="13" t="s">
        <v>3</v>
      </c>
      <c r="O24" s="13">
        <v>0</v>
      </c>
      <c r="P24" s="13">
        <f t="shared" ref="P24" si="42">0*12*P35</f>
        <v>0</v>
      </c>
      <c r="Q24" s="13">
        <f t="shared" ref="Q24:R24" si="43">0*12*Q35</f>
        <v>0</v>
      </c>
      <c r="R24" s="13">
        <f t="shared" si="43"/>
        <v>0</v>
      </c>
      <c r="S24" s="41">
        <f t="shared" ref="S24" si="44">0*1242*S35</f>
        <v>0</v>
      </c>
      <c r="T24" s="13">
        <f t="shared" ref="T24" si="45">0*1242*T35</f>
        <v>0</v>
      </c>
    </row>
    <row r="25" spans="1:20" s="1" customFormat="1" ht="25.5" customHeight="1">
      <c r="A25" s="50" t="s">
        <v>29</v>
      </c>
      <c r="B25" s="50"/>
      <c r="C25" s="50"/>
      <c r="D25" s="50"/>
      <c r="E25" s="50"/>
      <c r="F25" s="50"/>
      <c r="G25" s="13" t="s">
        <v>8</v>
      </c>
      <c r="H25" s="13">
        <v>0</v>
      </c>
      <c r="I25" s="13">
        <f>0*12*I35</f>
        <v>0</v>
      </c>
      <c r="J25" s="13">
        <f t="shared" ref="J25" si="46">0*12*J35</f>
        <v>0</v>
      </c>
      <c r="K25" s="13" t="s">
        <v>8</v>
      </c>
      <c r="L25" s="13">
        <v>0</v>
      </c>
      <c r="M25" s="13">
        <f t="shared" ref="M25" si="47">0*12*M35</f>
        <v>0</v>
      </c>
      <c r="N25" s="13" t="s">
        <v>8</v>
      </c>
      <c r="O25" s="13">
        <v>0</v>
      </c>
      <c r="P25" s="13">
        <f t="shared" ref="P25" si="48">0*12*P35</f>
        <v>0</v>
      </c>
      <c r="Q25" s="13">
        <f t="shared" ref="Q25:R25" si="49">0*12*Q35</f>
        <v>0</v>
      </c>
      <c r="R25" s="13">
        <f t="shared" si="49"/>
        <v>0</v>
      </c>
      <c r="S25" s="41">
        <f t="shared" ref="S25" si="50">0*12*S35</f>
        <v>0</v>
      </c>
      <c r="T25" s="13">
        <f t="shared" ref="T25" si="51">0*12*T35</f>
        <v>0</v>
      </c>
    </row>
    <row r="26" spans="1:20" s="1" customFormat="1" ht="57" customHeight="1">
      <c r="A26" s="50" t="s">
        <v>30</v>
      </c>
      <c r="B26" s="50"/>
      <c r="C26" s="50"/>
      <c r="D26" s="50"/>
      <c r="E26" s="50"/>
      <c r="F26" s="50"/>
      <c r="G26" s="14" t="s">
        <v>9</v>
      </c>
      <c r="H26" s="13">
        <f>0.03+0.01</f>
        <v>0.04</v>
      </c>
      <c r="I26" s="13">
        <f>0.04*12*I35</f>
        <v>505.2</v>
      </c>
      <c r="J26" s="13">
        <f t="shared" ref="J26" si="52">0.04*12*J35</f>
        <v>200.01599999999999</v>
      </c>
      <c r="K26" s="14" t="s">
        <v>9</v>
      </c>
      <c r="L26" s="13">
        <v>0.04</v>
      </c>
      <c r="M26" s="13">
        <f t="shared" ref="M26" si="53">0.04*12*M35</f>
        <v>304.46399999999994</v>
      </c>
      <c r="N26" s="14" t="s">
        <v>9</v>
      </c>
      <c r="O26" s="13">
        <v>0.04</v>
      </c>
      <c r="P26" s="13">
        <f t="shared" ref="P26" si="54">0.04*12*P35</f>
        <v>253.96799999999999</v>
      </c>
      <c r="Q26" s="13">
        <f t="shared" ref="Q26:R26" si="55">0.04*12*Q35</f>
        <v>329.37600000000003</v>
      </c>
      <c r="R26" s="13">
        <f t="shared" si="55"/>
        <v>364.84800000000001</v>
      </c>
      <c r="S26" s="41">
        <v>0.04</v>
      </c>
      <c r="T26" s="13">
        <f t="shared" ref="T26" si="56">0.04*12*T35</f>
        <v>232.89599999999999</v>
      </c>
    </row>
    <row r="27" spans="1:20" s="1" customFormat="1" ht="85.5" customHeight="1">
      <c r="A27" s="50" t="s">
        <v>48</v>
      </c>
      <c r="B27" s="50"/>
      <c r="C27" s="50"/>
      <c r="D27" s="50"/>
      <c r="E27" s="50"/>
      <c r="F27" s="50"/>
      <c r="G27" s="13" t="s">
        <v>8</v>
      </c>
      <c r="H27" s="13">
        <f>0.32+0.18+0.38</f>
        <v>0.88</v>
      </c>
      <c r="I27" s="13">
        <f>0.88*12*I35</f>
        <v>11114.4</v>
      </c>
      <c r="J27" s="13">
        <f t="shared" ref="J27" si="57">0.88*12*J35</f>
        <v>4400.3519999999999</v>
      </c>
      <c r="K27" s="13" t="s">
        <v>8</v>
      </c>
      <c r="L27" s="13">
        <v>2.17</v>
      </c>
      <c r="M27" s="13">
        <f>2.17*12*M35</f>
        <v>16517.171999999999</v>
      </c>
      <c r="N27" s="13" t="s">
        <v>8</v>
      </c>
      <c r="O27" s="13">
        <v>0.84</v>
      </c>
      <c r="P27" s="13">
        <f t="shared" ref="P27:R27" si="58">0.84*12*P35</f>
        <v>5333.3280000000004</v>
      </c>
      <c r="Q27" s="13">
        <f t="shared" si="58"/>
        <v>6916.8960000000006</v>
      </c>
      <c r="R27" s="13">
        <f t="shared" si="58"/>
        <v>7661.808</v>
      </c>
      <c r="S27" s="41">
        <v>2.17</v>
      </c>
      <c r="T27" s="13">
        <f>2.17*12*T35</f>
        <v>12634.608</v>
      </c>
    </row>
    <row r="28" spans="1:20" s="1" customFormat="1">
      <c r="A28" s="61" t="s">
        <v>7</v>
      </c>
      <c r="B28" s="62"/>
      <c r="C28" s="62"/>
      <c r="D28" s="62"/>
      <c r="E28" s="62"/>
      <c r="F28" s="63"/>
      <c r="G28" s="12"/>
      <c r="H28" s="16">
        <f t="shared" ref="H28" si="59">SUM(H29:H33)</f>
        <v>11.659999999999997</v>
      </c>
      <c r="I28" s="16">
        <f t="shared" ref="I28:J28" si="60">SUM(I29:I33)</f>
        <v>147265.79999999999</v>
      </c>
      <c r="J28" s="16">
        <f t="shared" si="60"/>
        <v>58304.66399999999</v>
      </c>
      <c r="K28" s="12"/>
      <c r="L28" s="16">
        <v>7.3299999999999992</v>
      </c>
      <c r="M28" s="16">
        <f t="shared" ref="M28" si="61">SUM(M29:M33)</f>
        <v>55793.027999999991</v>
      </c>
      <c r="N28" s="12"/>
      <c r="O28" s="16">
        <v>9.370000000000001</v>
      </c>
      <c r="P28" s="16">
        <f t="shared" ref="P28" si="62">SUM(P29:P33)</f>
        <v>59492.004000000008</v>
      </c>
      <c r="Q28" s="16">
        <f t="shared" ref="Q28:R28" si="63">SUM(Q29:Q33)</f>
        <v>77156.328000000009</v>
      </c>
      <c r="R28" s="16">
        <f t="shared" si="63"/>
        <v>85465.644000000015</v>
      </c>
      <c r="S28" s="43">
        <f t="shared" ref="S28:T28" si="64">SUM(S29:S33)</f>
        <v>7.33</v>
      </c>
      <c r="T28" s="16">
        <f t="shared" si="64"/>
        <v>42678.191999999995</v>
      </c>
    </row>
    <row r="29" spans="1:20" s="1" customFormat="1" ht="176.25" customHeight="1">
      <c r="A29" s="50" t="s">
        <v>39</v>
      </c>
      <c r="B29" s="50"/>
      <c r="C29" s="50"/>
      <c r="D29" s="50"/>
      <c r="E29" s="50"/>
      <c r="F29" s="50"/>
      <c r="G29" s="14" t="s">
        <v>44</v>
      </c>
      <c r="H29" s="13">
        <f>0.49+0.35+2.46+2.46+0.81+0.1+0.13+0.14+0.1+0.03+0.02+0.04+0.01</f>
        <v>7.1399999999999988</v>
      </c>
      <c r="I29" s="13">
        <f>7.14*12*I35</f>
        <v>90178.2</v>
      </c>
      <c r="J29" s="13">
        <f t="shared" ref="J29" si="65">7.14*12*J35</f>
        <v>35702.855999999992</v>
      </c>
      <c r="K29" s="14" t="s">
        <v>44</v>
      </c>
      <c r="L29" s="13">
        <v>1.57</v>
      </c>
      <c r="M29" s="13">
        <f>1.57*12*M35</f>
        <v>11950.212</v>
      </c>
      <c r="N29" s="14" t="s">
        <v>44</v>
      </c>
      <c r="O29" s="13">
        <v>5.91</v>
      </c>
      <c r="P29" s="13">
        <f t="shared" ref="P29:R29" si="66">5.91*12*P35</f>
        <v>37523.772000000004</v>
      </c>
      <c r="Q29" s="13">
        <f t="shared" si="66"/>
        <v>48665.304000000004</v>
      </c>
      <c r="R29" s="13">
        <f t="shared" si="66"/>
        <v>53906.292000000001</v>
      </c>
      <c r="S29" s="41">
        <v>1.57</v>
      </c>
      <c r="T29" s="13">
        <f>1.57*12*T35</f>
        <v>9141.1679999999997</v>
      </c>
    </row>
    <row r="30" spans="1:20" s="1" customFormat="1" ht="84.75" customHeight="1">
      <c r="A30" s="51" t="s">
        <v>6</v>
      </c>
      <c r="B30" s="51"/>
      <c r="C30" s="51"/>
      <c r="D30" s="51"/>
      <c r="E30" s="51"/>
      <c r="F30" s="51"/>
      <c r="G30" s="14" t="s">
        <v>5</v>
      </c>
      <c r="H30" s="13">
        <v>1.4</v>
      </c>
      <c r="I30" s="13">
        <f>1.4*12*I35</f>
        <v>17681.999999999996</v>
      </c>
      <c r="J30" s="13">
        <f t="shared" ref="J30" si="67">1.4*12*J35</f>
        <v>7000.5599999999986</v>
      </c>
      <c r="K30" s="14" t="s">
        <v>5</v>
      </c>
      <c r="L30" s="13">
        <v>1.85</v>
      </c>
      <c r="M30" s="13">
        <f>1.85*12*M35</f>
        <v>14081.460000000001</v>
      </c>
      <c r="N30" s="14" t="s">
        <v>5</v>
      </c>
      <c r="O30" s="13">
        <v>1.2</v>
      </c>
      <c r="P30" s="13">
        <f t="shared" ref="P30:R30" si="68">1.2*12*P35</f>
        <v>7619.04</v>
      </c>
      <c r="Q30" s="13">
        <f t="shared" si="68"/>
        <v>9881.2799999999988</v>
      </c>
      <c r="R30" s="13">
        <f t="shared" si="68"/>
        <v>10945.439999999999</v>
      </c>
      <c r="S30" s="41">
        <v>1.85</v>
      </c>
      <c r="T30" s="13">
        <f>1.85*12*T35</f>
        <v>10771.44</v>
      </c>
    </row>
    <row r="31" spans="1:20" s="1" customFormat="1" ht="22.5">
      <c r="A31" s="51" t="s">
        <v>37</v>
      </c>
      <c r="B31" s="51"/>
      <c r="C31" s="51"/>
      <c r="D31" s="51"/>
      <c r="E31" s="51"/>
      <c r="F31" s="51"/>
      <c r="G31" s="15" t="s">
        <v>45</v>
      </c>
      <c r="H31" s="13">
        <f>0.51+0.3+0.22+0.12+0.17+0.22</f>
        <v>1.5399999999999998</v>
      </c>
      <c r="I31" s="13">
        <f>1.54*12*I35</f>
        <v>19450.2</v>
      </c>
      <c r="J31" s="13">
        <f t="shared" ref="J31" si="69">1.54*12*J35</f>
        <v>7700.616</v>
      </c>
      <c r="K31" s="15" t="s">
        <v>45</v>
      </c>
      <c r="L31" s="13">
        <v>2.1199999999999997</v>
      </c>
      <c r="M31" s="13">
        <f>2.12*12*M35</f>
        <v>16136.592000000001</v>
      </c>
      <c r="N31" s="15" t="s">
        <v>45</v>
      </c>
      <c r="O31" s="13">
        <v>1.1099999999999999</v>
      </c>
      <c r="P31" s="13">
        <f t="shared" ref="P31:R31" si="70">1.11*12*P35</f>
        <v>7047.6120000000001</v>
      </c>
      <c r="Q31" s="13">
        <f t="shared" si="70"/>
        <v>9140.1840000000011</v>
      </c>
      <c r="R31" s="13">
        <f t="shared" si="70"/>
        <v>10124.532000000001</v>
      </c>
      <c r="S31" s="41">
        <v>2.12</v>
      </c>
      <c r="T31" s="13">
        <f>2.12*12*T35</f>
        <v>12343.488000000001</v>
      </c>
    </row>
    <row r="32" spans="1:20" s="1" customFormat="1">
      <c r="A32" s="51" t="s">
        <v>51</v>
      </c>
      <c r="B32" s="51"/>
      <c r="C32" s="51"/>
      <c r="D32" s="51"/>
      <c r="E32" s="51"/>
      <c r="F32" s="51"/>
      <c r="G32" s="13" t="s">
        <v>4</v>
      </c>
      <c r="H32" s="13">
        <v>0.87</v>
      </c>
      <c r="I32" s="13">
        <f>0.87*12*I35</f>
        <v>10988.1</v>
      </c>
      <c r="J32" s="13">
        <f t="shared" ref="J32" si="71">0.87*12*J35</f>
        <v>4350.348</v>
      </c>
      <c r="K32" s="13" t="s">
        <v>4</v>
      </c>
      <c r="L32" s="13">
        <v>1.36</v>
      </c>
      <c r="M32" s="13">
        <f>1.36*12*M35</f>
        <v>10351.776</v>
      </c>
      <c r="N32" s="13" t="s">
        <v>4</v>
      </c>
      <c r="O32" s="13">
        <v>0.94</v>
      </c>
      <c r="P32" s="13">
        <f t="shared" ref="P32:R32" si="72">0.94*12*P35</f>
        <v>5968.2479999999996</v>
      </c>
      <c r="Q32" s="13">
        <f t="shared" si="72"/>
        <v>7740.3360000000002</v>
      </c>
      <c r="R32" s="13">
        <f t="shared" si="72"/>
        <v>8573.9279999999999</v>
      </c>
      <c r="S32" s="41">
        <v>1.36</v>
      </c>
      <c r="T32" s="13">
        <f>1.36*12*T35</f>
        <v>7918.4639999999999</v>
      </c>
    </row>
    <row r="33" spans="1:23" s="1" customFormat="1">
      <c r="A33" s="51" t="s">
        <v>52</v>
      </c>
      <c r="B33" s="51"/>
      <c r="C33" s="51"/>
      <c r="D33" s="51"/>
      <c r="E33" s="51"/>
      <c r="F33" s="51"/>
      <c r="G33" s="13" t="s">
        <v>8</v>
      </c>
      <c r="H33" s="13">
        <v>0.71</v>
      </c>
      <c r="I33" s="13">
        <f>0.71*12*I35</f>
        <v>8967.2999999999993</v>
      </c>
      <c r="J33" s="13">
        <f t="shared" ref="J33" si="73">0.71*12*J35</f>
        <v>3550.2839999999997</v>
      </c>
      <c r="K33" s="13" t="s">
        <v>8</v>
      </c>
      <c r="L33" s="13">
        <v>0.43</v>
      </c>
      <c r="M33" s="13">
        <f>0.43*12*M35</f>
        <v>3272.9879999999998</v>
      </c>
      <c r="N33" s="13" t="s">
        <v>8</v>
      </c>
      <c r="O33" s="13">
        <v>0.21</v>
      </c>
      <c r="P33" s="13">
        <f t="shared" ref="P33:R33" si="74">0.21*12*P35</f>
        <v>1333.3320000000001</v>
      </c>
      <c r="Q33" s="13">
        <f t="shared" si="74"/>
        <v>1729.2240000000002</v>
      </c>
      <c r="R33" s="13">
        <f t="shared" si="74"/>
        <v>1915.452</v>
      </c>
      <c r="S33" s="41">
        <v>0.43</v>
      </c>
      <c r="T33" s="13">
        <f>0.43*12*T35</f>
        <v>2503.6320000000001</v>
      </c>
    </row>
    <row r="34" spans="1:23" s="1" customFormat="1">
      <c r="A34" s="64" t="s">
        <v>2</v>
      </c>
      <c r="B34" s="65"/>
      <c r="C34" s="65"/>
      <c r="D34" s="65"/>
      <c r="E34" s="65"/>
      <c r="F34" s="66"/>
      <c r="G34" s="19"/>
      <c r="H34" s="19"/>
      <c r="I34" s="20">
        <f>I14+I22+I28</f>
        <v>230497.5</v>
      </c>
      <c r="J34" s="20">
        <f t="shared" ref="J34" si="75">J14+J22+J28</f>
        <v>91257.299999999988</v>
      </c>
      <c r="K34" s="19"/>
      <c r="L34" s="21"/>
      <c r="M34" s="20">
        <f>M14+M22+M28</f>
        <v>165095.60399999999</v>
      </c>
      <c r="N34" s="19"/>
      <c r="O34" s="22"/>
      <c r="P34" s="20">
        <f t="shared" ref="P34:R34" si="76">P14+P22+P28</f>
        <v>137904.62400000001</v>
      </c>
      <c r="Q34" s="20">
        <f t="shared" si="76"/>
        <v>178851.16800000001</v>
      </c>
      <c r="R34" s="20">
        <f t="shared" si="76"/>
        <v>198112.46400000004</v>
      </c>
      <c r="S34" s="44"/>
      <c r="T34" s="20">
        <f t="shared" ref="T34" si="77">T14+T22+T28</f>
        <v>118893.408</v>
      </c>
      <c r="V34" s="49">
        <f>SUM(I34:U34)</f>
        <v>1120612.068</v>
      </c>
      <c r="W34" s="1">
        <f>V34/12*0.05</f>
        <v>4669.21695</v>
      </c>
    </row>
    <row r="35" spans="1:23" s="25" customFormat="1">
      <c r="A35" s="67" t="s">
        <v>1</v>
      </c>
      <c r="B35" s="67"/>
      <c r="C35" s="67"/>
      <c r="D35" s="67"/>
      <c r="E35" s="67"/>
      <c r="F35" s="67"/>
      <c r="G35" s="35"/>
      <c r="H35" s="36"/>
      <c r="I35" s="46" t="s">
        <v>65</v>
      </c>
      <c r="J35" s="46" t="s">
        <v>66</v>
      </c>
      <c r="K35" s="37"/>
      <c r="L35" s="36"/>
      <c r="M35" s="30" t="s">
        <v>67</v>
      </c>
      <c r="N35" s="37"/>
      <c r="O35" s="37"/>
      <c r="P35" s="46" t="s">
        <v>69</v>
      </c>
      <c r="Q35" s="46" t="s">
        <v>70</v>
      </c>
      <c r="R35" s="46" t="s">
        <v>71</v>
      </c>
      <c r="S35" s="45"/>
      <c r="T35" s="48" t="s">
        <v>74</v>
      </c>
    </row>
    <row r="36" spans="1:23" s="2" customFormat="1" ht="25.5" customHeight="1">
      <c r="A36" s="58" t="s">
        <v>50</v>
      </c>
      <c r="B36" s="59"/>
      <c r="C36" s="59"/>
      <c r="D36" s="59"/>
      <c r="E36" s="59"/>
      <c r="F36" s="60"/>
      <c r="G36" s="23"/>
      <c r="H36" s="24">
        <f>H14+H22+H28</f>
        <v>18.249999999999996</v>
      </c>
      <c r="I36" s="24">
        <f>I34 /12/I35</f>
        <v>18.25</v>
      </c>
      <c r="J36" s="24">
        <f t="shared" ref="J36" si="78">J34 /12/J35</f>
        <v>18.249999999999996</v>
      </c>
      <c r="K36" s="24"/>
      <c r="L36" s="24">
        <v>21.689999999999998</v>
      </c>
      <c r="M36" s="24">
        <f>M34/12/M35</f>
        <v>21.69</v>
      </c>
      <c r="N36" s="24"/>
      <c r="O36" s="24">
        <v>21.72</v>
      </c>
      <c r="P36" s="24">
        <f t="shared" ref="P36:R36" si="79">P34/12/P35</f>
        <v>21.720000000000002</v>
      </c>
      <c r="Q36" s="24">
        <f t="shared" si="79"/>
        <v>21.72</v>
      </c>
      <c r="R36" s="24">
        <f t="shared" si="79"/>
        <v>21.720000000000002</v>
      </c>
      <c r="S36" s="44">
        <f>S14+S22+S28</f>
        <v>20.420000000000002</v>
      </c>
      <c r="T36" s="24">
        <f t="shared" ref="T36" si="80">T34 /12/T35</f>
        <v>20.419999999999998</v>
      </c>
    </row>
    <row r="37" spans="1:23" s="1" customFormat="1" ht="12.75" customHeight="1">
      <c r="A37" s="6"/>
      <c r="B37" s="6"/>
      <c r="C37" s="6"/>
      <c r="D37" s="6"/>
      <c r="E37" s="6"/>
      <c r="F37" s="6"/>
      <c r="G37" s="6"/>
      <c r="H37" s="7"/>
      <c r="I37" s="7"/>
      <c r="J37" s="7"/>
      <c r="K37" s="6"/>
      <c r="L37" s="7"/>
      <c r="M37" s="7"/>
      <c r="N37" s="6"/>
      <c r="O37" s="8"/>
      <c r="P37" s="8"/>
      <c r="Q37" s="8"/>
      <c r="R37" s="8"/>
      <c r="S37" s="38"/>
      <c r="T37" s="9"/>
      <c r="V37" s="1">
        <f>V34/12</f>
        <v>93384.338999999993</v>
      </c>
    </row>
    <row r="38" spans="1:23" s="1" customFormat="1" ht="12.75" hidden="1" customHeight="1">
      <c r="A38" s="6"/>
      <c r="B38" s="6"/>
      <c r="C38" s="6"/>
      <c r="D38" s="6"/>
      <c r="E38" s="6"/>
      <c r="F38" s="6"/>
      <c r="G38" s="6"/>
      <c r="H38" s="7"/>
      <c r="I38" s="7"/>
      <c r="J38" s="7"/>
      <c r="K38" s="6"/>
      <c r="L38" s="7"/>
      <c r="M38" s="7"/>
      <c r="N38" s="6"/>
      <c r="O38" s="8"/>
      <c r="P38" s="8"/>
      <c r="Q38" s="8"/>
      <c r="R38" s="8"/>
      <c r="S38" s="38"/>
      <c r="T38" s="9"/>
    </row>
    <row r="39" spans="1:23" s="1" customFormat="1">
      <c r="A39" s="6"/>
      <c r="B39" s="6"/>
      <c r="C39" s="6"/>
      <c r="D39" s="6"/>
      <c r="E39" s="6"/>
      <c r="F39" s="6"/>
      <c r="G39" s="6"/>
      <c r="H39" s="7"/>
      <c r="I39" s="7"/>
      <c r="J39" s="7"/>
      <c r="K39" s="6"/>
      <c r="L39" s="7"/>
      <c r="M39" s="7"/>
      <c r="N39" s="6"/>
      <c r="O39" s="6"/>
      <c r="P39" s="6"/>
      <c r="Q39" s="6"/>
      <c r="R39" s="6"/>
      <c r="S39" s="38"/>
      <c r="T39" s="9"/>
    </row>
    <row r="40" spans="1:23" s="1" customFormat="1">
      <c r="A40" s="6"/>
      <c r="B40" s="6"/>
      <c r="C40" s="6"/>
      <c r="D40" s="6"/>
      <c r="E40" s="6"/>
      <c r="F40" s="6"/>
      <c r="G40" s="6"/>
      <c r="H40" s="7"/>
      <c r="I40" s="7"/>
      <c r="J40" s="7"/>
      <c r="K40" s="6"/>
      <c r="L40" s="7"/>
      <c r="M40" s="7"/>
      <c r="N40" s="6"/>
      <c r="O40" s="6"/>
      <c r="P40" s="6"/>
      <c r="Q40" s="6"/>
      <c r="R40" s="6"/>
      <c r="S40" s="38"/>
      <c r="T40" s="9"/>
    </row>
    <row r="41" spans="1:23" s="1" customFormat="1">
      <c r="A41" s="6" t="s">
        <v>0</v>
      </c>
      <c r="B41" s="6">
        <v>12</v>
      </c>
      <c r="C41" s="6"/>
      <c r="D41" s="6"/>
      <c r="E41" s="6"/>
      <c r="F41" s="6"/>
      <c r="G41" s="6"/>
      <c r="H41" s="7"/>
      <c r="I41" s="7"/>
      <c r="J41" s="7"/>
      <c r="K41" s="6"/>
      <c r="L41" s="7"/>
      <c r="M41" s="7"/>
      <c r="N41" s="6"/>
      <c r="O41" s="6"/>
      <c r="P41" s="6"/>
      <c r="Q41" s="6"/>
      <c r="R41" s="6"/>
      <c r="S41" s="38"/>
      <c r="T41" s="9"/>
    </row>
    <row r="42" spans="1:23" s="1" customFormat="1">
      <c r="A42" s="6"/>
      <c r="B42" s="6"/>
      <c r="C42" s="6"/>
      <c r="D42" s="6"/>
      <c r="E42" s="6"/>
      <c r="F42" s="6"/>
      <c r="G42" s="6"/>
      <c r="H42" s="7"/>
      <c r="I42" s="7"/>
      <c r="J42" s="7"/>
      <c r="K42" s="6"/>
      <c r="L42" s="7"/>
      <c r="M42" s="7"/>
      <c r="N42" s="6"/>
      <c r="O42" s="6"/>
      <c r="P42" s="6"/>
      <c r="Q42" s="6"/>
      <c r="R42" s="6"/>
      <c r="S42" s="38"/>
      <c r="T42" s="9"/>
    </row>
  </sheetData>
  <mergeCells count="42">
    <mergeCell ref="K6:M6"/>
    <mergeCell ref="L7:L8"/>
    <mergeCell ref="N7:N8"/>
    <mergeCell ref="O7:O8"/>
    <mergeCell ref="H7:H8"/>
    <mergeCell ref="K7:K8"/>
    <mergeCell ref="S7:S8"/>
    <mergeCell ref="A26:F26"/>
    <mergeCell ref="A15:F15"/>
    <mergeCell ref="A1:G1"/>
    <mergeCell ref="A2:G2"/>
    <mergeCell ref="A3:G3"/>
    <mergeCell ref="A4:G4"/>
    <mergeCell ref="A9:F9"/>
    <mergeCell ref="A10:F10"/>
    <mergeCell ref="A11:F11"/>
    <mergeCell ref="A12:F12"/>
    <mergeCell ref="A13:F13"/>
    <mergeCell ref="A14:F14"/>
    <mergeCell ref="G6:J6"/>
    <mergeCell ref="A6:F8"/>
    <mergeCell ref="G7:G8"/>
    <mergeCell ref="A36:F36"/>
    <mergeCell ref="A28:F28"/>
    <mergeCell ref="A29:F29"/>
    <mergeCell ref="A30:F30"/>
    <mergeCell ref="A33:F33"/>
    <mergeCell ref="A31:F31"/>
    <mergeCell ref="A32:F32"/>
    <mergeCell ref="A34:F34"/>
    <mergeCell ref="A35:F35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2015-11-27T06:28:25Z</cp:lastPrinted>
  <dcterms:created xsi:type="dcterms:W3CDTF">2013-04-24T10:34:01Z</dcterms:created>
  <dcterms:modified xsi:type="dcterms:W3CDTF">2015-11-27T13:14:42Z</dcterms:modified>
</cp:coreProperties>
</file>